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C5A6" lockStructure="1"/>
  <bookViews>
    <workbookView xWindow="-210" yWindow="30" windowWidth="18765" windowHeight="15600"/>
  </bookViews>
  <sheets>
    <sheet name="VW Calculator" sheetId="2" r:id="rId1"/>
    <sheet name="Sheet1" sheetId="3" r:id="rId2"/>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5" i="2" l="1"/>
  <c r="E5" i="2"/>
  <c r="L21" i="2"/>
  <c r="L20" i="2"/>
  <c r="L19" i="2"/>
  <c r="L25" i="2"/>
  <c r="L18" i="2"/>
  <c r="E18" i="2"/>
  <c r="L6" i="2"/>
  <c r="E6" i="2"/>
  <c r="L7" i="2"/>
  <c r="E7" i="2"/>
  <c r="L8" i="2"/>
  <c r="E8" i="2"/>
  <c r="L9" i="2"/>
  <c r="E9" i="2"/>
  <c r="L10" i="2"/>
  <c r="E10" i="2"/>
  <c r="L11" i="2"/>
  <c r="E11" i="2"/>
  <c r="L12" i="2"/>
  <c r="E12" i="2"/>
  <c r="L13" i="2"/>
  <c r="E13" i="2"/>
  <c r="L14" i="2"/>
  <c r="E14" i="2"/>
  <c r="L15" i="2"/>
  <c r="E15" i="2"/>
  <c r="L16" i="2"/>
  <c r="E16" i="2"/>
  <c r="L17" i="2"/>
  <c r="E17" i="2"/>
  <c r="L26" i="2"/>
  <c r="L27" i="2" s="1"/>
  <c r="F25" i="2"/>
  <c r="I7" i="2"/>
  <c r="I6" i="2"/>
  <c r="J7" i="2"/>
  <c r="G24" i="2"/>
  <c r="J9" i="2"/>
  <c r="J6" i="2"/>
  <c r="J5" i="2"/>
  <c r="J19" i="2"/>
  <c r="J18" i="2"/>
  <c r="J17" i="2"/>
  <c r="J16" i="2"/>
  <c r="J15" i="2"/>
  <c r="J14" i="2"/>
  <c r="J13" i="2"/>
  <c r="J12" i="2"/>
  <c r="J11" i="2"/>
  <c r="J10" i="2"/>
  <c r="J8" i="2"/>
  <c r="I8" i="2"/>
  <c r="I12" i="2"/>
  <c r="I16" i="2"/>
  <c r="I9" i="2"/>
  <c r="I13" i="2"/>
  <c r="I17" i="2"/>
  <c r="I10" i="2"/>
  <c r="I14" i="2"/>
  <c r="I18" i="2"/>
  <c r="I11" i="2"/>
  <c r="I15" i="2"/>
  <c r="I5" i="2"/>
  <c r="K20" i="2"/>
  <c r="I19" i="2"/>
  <c r="I22" i="2"/>
  <c r="E19" i="2"/>
  <c r="L29" i="2" l="1"/>
  <c r="L28" i="2"/>
</calcChain>
</file>

<file path=xl/sharedStrings.xml><?xml version="1.0" encoding="utf-8"?>
<sst xmlns="http://schemas.openxmlformats.org/spreadsheetml/2006/main" count="75" uniqueCount="52">
  <si>
    <t>Technology</t>
  </si>
  <si>
    <t>Description</t>
  </si>
  <si>
    <t>Electric</t>
  </si>
  <si>
    <t>Diesel</t>
  </si>
  <si>
    <t>CNG</t>
  </si>
  <si>
    <t>Beginning Balance</t>
  </si>
  <si>
    <t>Sum of Expenditures</t>
  </si>
  <si>
    <t>REMAINING BALANCE</t>
  </si>
  <si>
    <t>Administrative Costs</t>
  </si>
  <si>
    <t>Vehicle Replacement</t>
  </si>
  <si>
    <t>MY 1992 - 2009, GVWR &gt; 33,000 lb</t>
  </si>
  <si>
    <t>(Yard Locomotive, &gt; 1,000 op hrs/yr</t>
  </si>
  <si>
    <t>Belt Loader, Cargo Truck, Jet Tug</t>
  </si>
  <si>
    <t>MY 1992 - 2009, GVWR = 14 - 33k lb</t>
  </si>
  <si>
    <t>MY 1992 - 2009, GVWR = 14 - 16 k lb</t>
  </si>
  <si>
    <t>MY 1992 - 2009, GVWR = 14 - 33 k lb</t>
  </si>
  <si>
    <t>MY 1992 - 2009, GVWR =  26 - 60 k lb</t>
  </si>
  <si>
    <t>&gt; 8,000 lb lift  capacity</t>
  </si>
  <si>
    <t>In cell E29, enter administrative cost as % of beginning</t>
  </si>
  <si>
    <t>balance (e.g., to enter 1%, enter 1.)</t>
  </si>
  <si>
    <t>Vehicle / Equipment</t>
  </si>
  <si>
    <t>TOTAL NOX EMISSIONS REDUCED (TONS PER YEAR):</t>
  </si>
  <si>
    <t>Administrative Costs (Up to 15% MAX)</t>
  </si>
  <si>
    <t>(15% of Total Allocation)</t>
  </si>
  <si>
    <t xml:space="preserve">Not to Exceed </t>
  </si>
  <si>
    <t>Light-Duty Zero-Emission Vehicle Supply Equipment
(Calculations based on networked dual-port Level II EV Charger + Installation)</t>
  </si>
  <si>
    <t>Total Cost</t>
  </si>
  <si>
    <t>ANNUAL
TONS REDUCED</t>
  </si>
  <si>
    <t>ANNUAL
COST/TON</t>
  </si>
  <si>
    <t>Items listed in Rows 3-15 are in increasing $/ton order</t>
  </si>
  <si>
    <t>Total % Used:</t>
  </si>
  <si>
    <t>Propane</t>
  </si>
  <si>
    <r>
      <t xml:space="preserve">% Of Total
(1-100)
</t>
    </r>
    <r>
      <rPr>
        <b/>
        <sz val="9"/>
        <color theme="1"/>
        <rFont val="Calibri"/>
        <family val="2"/>
        <scheme val="minor"/>
      </rPr>
      <t/>
    </r>
  </si>
  <si>
    <t>REDUCTION TARGET (TONS PER YEAR):</t>
  </si>
  <si>
    <t>Estimated NOx Emissions Reductions and Costs for VW Funds 
Interactive Calculator</t>
  </si>
  <si>
    <t>Calculations are estimates and intended to provide users a general comparison of eligible vehicles/equipment and how their costs per ton of NOx emissions reduced may fit into the overall plan to mitigate the 230.1 tons per year of NOx emissions emitted by the affected VW vehicles.  This calculator does not consider impacts each measure may have on other pollutants or precursors because the VW Mitigation Fund was established solely to offset the increased NOx emissions resulting from the VW cheat devices.</t>
  </si>
  <si>
    <t>Forklifts</t>
  </si>
  <si>
    <t>Airport Ground Support Equipment: Tier 0 - 2</t>
  </si>
  <si>
    <t>Freight Switcher Locomotives</t>
  </si>
  <si>
    <t>Unit Cost (as of 2016, may vary year by year)</t>
  </si>
  <si>
    <t xml:space="preserve">Quantity (Units)
 </t>
  </si>
  <si>
    <t>Fuel*</t>
  </si>
  <si>
    <r>
      <t>NO</t>
    </r>
    <r>
      <rPr>
        <b/>
        <vertAlign val="subscript"/>
        <sz val="14"/>
        <color theme="1"/>
        <rFont val="Calibri"/>
        <family val="2"/>
        <scheme val="minor"/>
      </rPr>
      <t>x</t>
    </r>
    <r>
      <rPr>
        <b/>
        <sz val="14"/>
        <color theme="1"/>
        <rFont val="Calibri"/>
        <family val="2"/>
        <scheme val="minor"/>
      </rPr>
      <t xml:space="preserve"> Emissions Reduced
(Tons / Year)**</t>
    </r>
  </si>
  <si>
    <r>
      <t xml:space="preserve">Instructions:
</t>
    </r>
    <r>
      <rPr>
        <sz val="16"/>
        <color theme="1"/>
        <rFont val="Calibri"/>
        <family val="2"/>
        <scheme val="minor"/>
      </rPr>
      <t>Enter a number in the blue colored boxes (% Of Total cells) that represents the percentage desired for each vehicle/equipment category. Administrative costs should be included, but cannot exceed 15 percent. As with administrative costs, 15% is also the maximum allowed for the Light-Duty Zero-Emission Vehicle Supply Equipment category. "Total % Used" indicates the combined percentages entered. Total percent should not exceed 100 percent. The goal is to meet or exceed the 230.1 tons of NOx emissions reduced per year, without exceeding the available dollar amount, which is represented by the REMAINING BALANCE.</t>
    </r>
  </si>
  <si>
    <t>Class 8 Local Freight Trucks 
(e.g. waste haulers, dump trucks, snow plows, etc.)</t>
  </si>
  <si>
    <t xml:space="preserve">Class 4-7 Local Freight Delivery Trucks </t>
  </si>
  <si>
    <t>*The unit cost in the calculator is based on the vehicle fuel type in this column. While other fuel types may be eligible, costs may vary.</t>
  </si>
  <si>
    <t>**For a given vehicle, the EPA Diesel Emissions Quantifier shows the same emissions reductions for diesel, natural gas, or propane.</t>
  </si>
  <si>
    <t>Shuttle Buses (Class 4)</t>
  </si>
  <si>
    <t>School Buses (Class 4 - 7)</t>
  </si>
  <si>
    <t>Transit Buses (Class 7 - 8)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</si>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</sst>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
    <numFmt numFmtId="165" formatCode="0.0000"/>
    <numFmt numFmtId="166" formatCode="0.0"/>
    <numFmt numFmtId="167" formatCode="0.000"/>
    <numFmt numFmtId="168" formatCode="_(&quot;$&quot;* #,##0_);_(&quot;$&quot;* \(#,##0\);_(&quot;$&quot;* &quot;-&quot;??_);_(@_)"/>
    <numFmt numFmtId="169" formatCode="0.0%"/>
    <numFmt numFmtId="170" formatCode="&quot;$&quot;#,##0.00;[Red]&quot;$&quot;#,##0.00"/>
    <numFmt numFmtId="171" formatCode="&quot;$&quot;#,##0;[Red]&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2"/>
      <color theme="1"/>
      <name val="Calibri"/>
      <family val="2"/>
      <scheme val="minor"/>
    </font>
    <font>
      <b/>
      <sz val="22"/>
      <color theme="1"/>
      <name val="Calibri"/>
      <family val="2"/>
      <scheme val="minor"/>
    </font>
    <font>
      <sz val="12"/>
      <color theme="1"/>
      <name val="Calibri"/>
      <family val="2"/>
      <scheme val="minor"/>
    </font>
    <font>
      <sz val="14"/>
      <color theme="1"/>
      <name val="Calibri"/>
      <family val="2"/>
      <scheme val="minor"/>
    </font>
    <font>
      <b/>
      <vertAlign val="subscript"/>
      <sz val="14"/>
      <color theme="1"/>
      <name val="Calibri"/>
      <family val="2"/>
      <scheme val="minor"/>
    </font>
    <font>
      <b/>
      <sz val="14"/>
      <color rgb="FFFF0000"/>
      <name val="Calibri"/>
      <family val="2"/>
      <scheme val="minor"/>
    </font>
    <font>
      <b/>
      <sz val="9"/>
      <color theme="1"/>
      <name val="Calibri"/>
      <family val="2"/>
      <scheme val="minor"/>
    </font>
    <font>
      <b/>
      <sz val="16"/>
      <color theme="1"/>
      <name val="Calibri"/>
      <family val="2"/>
      <scheme val="minor"/>
    </font>
    <font>
      <sz val="16"/>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FF99"/>
        <bgColor indexed="64"/>
      </patternFill>
    </fill>
    <fill>
      <patternFill patternType="solid">
        <fgColor theme="0"/>
        <bgColor indexed="64"/>
      </patternFill>
    </fill>
  </fills>
  <borders count="3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9" fontId="2" fillId="3" borderId="5" xfId="2" applyFont="1" applyFill="1" applyBorder="1" applyAlignment="1" applyProtection="1">
      <alignment horizontal="center"/>
      <protection locked="0"/>
    </xf>
    <xf numFmtId="169" fontId="0" fillId="3" borderId="10" xfId="0" applyNumberForma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0" fillId="0" borderId="0" xfId="0" applyBorder="1" applyProtection="1"/>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166" fontId="3" fillId="0" borderId="16" xfId="0" applyNumberFormat="1"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164" fontId="3" fillId="0" borderId="17" xfId="0" applyNumberFormat="1" applyFont="1" applyBorder="1" applyAlignment="1" applyProtection="1">
      <alignment horizontal="center" vertical="center" wrapText="1"/>
    </xf>
    <xf numFmtId="165" fontId="8" fillId="0" borderId="16" xfId="0" applyNumberFormat="1" applyFont="1" applyBorder="1" applyAlignment="1" applyProtection="1">
      <alignment horizontal="center" vertical="center" wrapText="1"/>
    </xf>
    <xf numFmtId="165" fontId="3" fillId="0" borderId="17" xfId="0" applyNumberFormat="1" applyFont="1" applyBorder="1" applyAlignment="1" applyProtection="1">
      <alignment horizontal="center" vertical="center" wrapText="1"/>
    </xf>
    <xf numFmtId="164" fontId="8" fillId="0" borderId="16" xfId="0" applyNumberFormat="1" applyFont="1" applyBorder="1" applyAlignment="1" applyProtection="1">
      <alignment horizontal="center" vertical="center" wrapText="1"/>
    </xf>
    <xf numFmtId="0" fontId="3" fillId="0" borderId="19" xfId="0" applyFont="1" applyBorder="1" applyAlignment="1" applyProtection="1">
      <alignment horizontal="center" vertical="center"/>
    </xf>
    <xf numFmtId="0" fontId="8" fillId="0" borderId="0" xfId="0" applyFont="1" applyBorder="1" applyAlignment="1" applyProtection="1">
      <alignment horizontal="center" vertical="center"/>
    </xf>
    <xf numFmtId="0" fontId="5" fillId="0" borderId="20"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5" xfId="0" applyBorder="1" applyAlignment="1" applyProtection="1">
      <alignment horizontal="center" vertical="center"/>
    </xf>
    <xf numFmtId="166" fontId="2" fillId="6" borderId="5" xfId="0" applyNumberFormat="1" applyFont="1" applyFill="1" applyBorder="1" applyAlignment="1" applyProtection="1">
      <alignment horizontal="center"/>
    </xf>
    <xf numFmtId="164" fontId="0" fillId="0" borderId="5" xfId="0" applyNumberFormat="1" applyBorder="1" applyAlignment="1" applyProtection="1">
      <alignment horizontal="center"/>
    </xf>
    <xf numFmtId="167" fontId="0" fillId="0" borderId="7" xfId="0" applyNumberFormat="1" applyBorder="1" applyAlignment="1" applyProtection="1">
      <alignment horizontal="center"/>
    </xf>
    <xf numFmtId="2" fontId="0" fillId="0" borderId="5" xfId="0" applyNumberFormat="1" applyBorder="1" applyAlignment="1" applyProtection="1">
      <alignment horizontal="center"/>
    </xf>
    <xf numFmtId="164" fontId="0" fillId="0" borderId="7" xfId="0" applyNumberFormat="1" applyBorder="1" applyAlignment="1" applyProtection="1">
      <alignment horizontal="center"/>
    </xf>
    <xf numFmtId="0" fontId="0" fillId="0" borderId="7" xfId="0" applyBorder="1" applyAlignment="1" applyProtection="1">
      <alignment horizontal="center"/>
    </xf>
    <xf numFmtId="164" fontId="0" fillId="0" borderId="21" xfId="0" applyNumberFormat="1" applyBorder="1" applyAlignment="1" applyProtection="1">
      <alignment horizontal="center"/>
    </xf>
    <xf numFmtId="171" fontId="0" fillId="0" borderId="7" xfId="0" applyNumberFormat="1" applyBorder="1" applyAlignment="1" applyProtection="1">
      <alignment horizontal="center"/>
    </xf>
    <xf numFmtId="0" fontId="5" fillId="0" borderId="22"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10" xfId="0" applyBorder="1" applyAlignment="1" applyProtection="1">
      <alignment horizontal="center" vertical="center"/>
    </xf>
    <xf numFmtId="164" fontId="0" fillId="0" borderId="10" xfId="0" applyNumberFormat="1" applyBorder="1" applyAlignment="1" applyProtection="1">
      <alignment horizontal="center"/>
    </xf>
    <xf numFmtId="167" fontId="0" fillId="0" borderId="2" xfId="0" applyNumberFormat="1" applyBorder="1" applyAlignment="1" applyProtection="1">
      <alignment horizontal="center"/>
    </xf>
    <xf numFmtId="164" fontId="0" fillId="0" borderId="2" xfId="0" applyNumberFormat="1" applyBorder="1" applyAlignment="1" applyProtection="1">
      <alignment horizontal="center"/>
    </xf>
    <xf numFmtId="0" fontId="0" fillId="0" borderId="2" xfId="0" applyBorder="1" applyAlignment="1" applyProtection="1">
      <alignment horizontal="center"/>
    </xf>
    <xf numFmtId="0" fontId="0" fillId="0" borderId="0"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4" xfId="0" applyFont="1" applyBorder="1" applyAlignment="1" applyProtection="1">
      <alignment horizontal="center"/>
    </xf>
    <xf numFmtId="164" fontId="0" fillId="0" borderId="2" xfId="0" applyNumberFormat="1" applyBorder="1" applyAlignment="1" applyProtection="1">
      <alignment horizontal="center" vertical="center"/>
    </xf>
    <xf numFmtId="0" fontId="2" fillId="0" borderId="2" xfId="0" applyFont="1" applyBorder="1" applyAlignment="1" applyProtection="1">
      <alignment horizontal="center" vertical="center" wrapText="1"/>
    </xf>
    <xf numFmtId="0" fontId="0" fillId="0" borderId="0" xfId="0" applyBorder="1" applyAlignment="1" applyProtection="1">
      <alignment vertical="center"/>
    </xf>
    <xf numFmtId="164" fontId="0" fillId="0" borderId="0" xfId="0" applyNumberFormat="1" applyBorder="1" applyAlignment="1" applyProtection="1">
      <alignment horizontal="center" vertical="center"/>
    </xf>
    <xf numFmtId="164" fontId="2" fillId="0" borderId="0" xfId="0" applyNumberFormat="1" applyFont="1" applyBorder="1" applyAlignment="1" applyProtection="1">
      <alignment horizontal="center" vertical="center" wrapText="1"/>
    </xf>
    <xf numFmtId="164" fontId="0" fillId="0" borderId="0" xfId="0" applyNumberFormat="1" applyBorder="1" applyAlignment="1" applyProtection="1">
      <alignment vertical="center"/>
    </xf>
    <xf numFmtId="0" fontId="0" fillId="0" borderId="28" xfId="0" applyFont="1" applyBorder="1" applyAlignment="1" applyProtection="1">
      <alignment horizontal="center" vertical="center"/>
    </xf>
    <xf numFmtId="164" fontId="0" fillId="0" borderId="28" xfId="0" applyNumberFormat="1" applyBorder="1" applyAlignment="1" applyProtection="1">
      <alignment horizontal="center" vertical="center"/>
    </xf>
    <xf numFmtId="0" fontId="2" fillId="0" borderId="28" xfId="0" applyFont="1" applyBorder="1" applyAlignment="1" applyProtection="1">
      <alignment horizontal="center" vertical="center"/>
    </xf>
    <xf numFmtId="0" fontId="5" fillId="4" borderId="9" xfId="0" applyFont="1" applyFill="1" applyBorder="1" applyAlignment="1" applyProtection="1">
      <alignment horizontal="right" vertical="top"/>
    </xf>
    <xf numFmtId="0" fontId="7" fillId="4" borderId="4" xfId="0" applyFont="1" applyFill="1" applyBorder="1" applyAlignment="1" applyProtection="1">
      <alignment horizontal="left" vertical="center"/>
    </xf>
    <xf numFmtId="0" fontId="7" fillId="4" borderId="4" xfId="0" applyFont="1" applyFill="1" applyBorder="1" applyAlignment="1" applyProtection="1">
      <alignment horizontal="center" vertical="center"/>
    </xf>
    <xf numFmtId="164" fontId="5" fillId="4" borderId="4" xfId="0" applyNumberFormat="1" applyFont="1" applyFill="1" applyBorder="1" applyAlignment="1" applyProtection="1">
      <alignment horizontal="right" vertical="center"/>
    </xf>
    <xf numFmtId="165" fontId="7" fillId="4" borderId="4" xfId="0" applyNumberFormat="1" applyFont="1" applyFill="1" applyBorder="1" applyAlignment="1" applyProtection="1">
      <alignment horizontal="center" vertical="center"/>
    </xf>
    <xf numFmtId="166" fontId="5" fillId="4" borderId="5" xfId="0" applyNumberFormat="1" applyFont="1" applyFill="1" applyBorder="1" applyAlignment="1" applyProtection="1">
      <alignment horizontal="center" vertical="center"/>
    </xf>
    <xf numFmtId="0" fontId="5" fillId="4" borderId="6" xfId="0" applyFont="1" applyFill="1" applyBorder="1" applyAlignment="1" applyProtection="1">
      <alignment horizontal="right" vertical="center"/>
    </xf>
    <xf numFmtId="0" fontId="7" fillId="4" borderId="7" xfId="0" applyFont="1" applyFill="1" applyBorder="1" applyAlignment="1" applyProtection="1">
      <alignment horizontal="left" vertical="center"/>
    </xf>
    <xf numFmtId="0" fontId="7" fillId="4" borderId="7" xfId="0" applyFont="1" applyFill="1" applyBorder="1" applyAlignment="1" applyProtection="1">
      <alignment horizontal="center" vertical="center"/>
    </xf>
    <xf numFmtId="164" fontId="5" fillId="4" borderId="7" xfId="0" applyNumberFormat="1" applyFont="1" applyFill="1" applyBorder="1" applyAlignment="1" applyProtection="1">
      <alignment horizontal="right" vertical="center"/>
    </xf>
    <xf numFmtId="165" fontId="7" fillId="4" borderId="7" xfId="0" applyNumberFormat="1" applyFont="1" applyFill="1" applyBorder="1" applyAlignment="1" applyProtection="1">
      <alignment horizontal="center" vertical="center"/>
    </xf>
    <xf numFmtId="0" fontId="5" fillId="0" borderId="9" xfId="0" applyFont="1" applyBorder="1" applyAlignment="1" applyProtection="1">
      <alignment horizontal="center" vertical="center"/>
    </xf>
    <xf numFmtId="0" fontId="0" fillId="0" borderId="4" xfId="0" applyNumberFormat="1" applyFont="1" applyBorder="1" applyAlignment="1" applyProtection="1">
      <alignment horizontal="left" vertical="center"/>
    </xf>
    <xf numFmtId="0" fontId="0" fillId="0" borderId="4" xfId="0" applyNumberFormat="1" applyBorder="1" applyAlignment="1" applyProtection="1">
      <alignment horizontal="left" vertical="center"/>
    </xf>
    <xf numFmtId="0" fontId="0" fillId="0" borderId="7" xfId="0" applyBorder="1" applyAlignment="1" applyProtection="1">
      <alignment vertical="center"/>
    </xf>
    <xf numFmtId="168" fontId="10" fillId="0" borderId="0" xfId="1" applyNumberFormat="1" applyFont="1" applyFill="1" applyBorder="1" applyAlignment="1" applyProtection="1">
      <alignment horizontal="left" vertical="center"/>
    </xf>
    <xf numFmtId="9" fontId="0" fillId="0" borderId="0" xfId="2" applyFont="1" applyFill="1" applyBorder="1" applyAlignment="1" applyProtection="1">
      <alignment horizontal="left" vertical="center"/>
    </xf>
    <xf numFmtId="0" fontId="2" fillId="0" borderId="0" xfId="0" applyFont="1" applyBorder="1" applyProtection="1"/>
    <xf numFmtId="0" fontId="0" fillId="0" borderId="0" xfId="0" applyNumberFormat="1" applyFont="1" applyFill="1" applyBorder="1" applyAlignment="1" applyProtection="1"/>
    <xf numFmtId="0" fontId="0" fillId="0" borderId="0" xfId="0" applyNumberFormat="1" applyFill="1" applyBorder="1" applyAlignment="1" applyProtection="1">
      <alignment horizontal="left"/>
    </xf>
    <xf numFmtId="0" fontId="12" fillId="0" borderId="0" xfId="0" applyFont="1" applyBorder="1" applyAlignment="1" applyProtection="1">
      <alignment horizontal="right"/>
    </xf>
    <xf numFmtId="0" fontId="12" fillId="0" borderId="0" xfId="0" applyFont="1" applyBorder="1" applyProtection="1"/>
    <xf numFmtId="10" fontId="12" fillId="0" borderId="34" xfId="0" applyNumberFormat="1" applyFont="1" applyBorder="1" applyAlignment="1" applyProtection="1">
      <alignment horizontal="center"/>
    </xf>
    <xf numFmtId="165" fontId="0" fillId="0" borderId="0" xfId="0" applyNumberFormat="1" applyBorder="1" applyAlignment="1" applyProtection="1">
      <alignment horizontal="center" vertical="center"/>
    </xf>
    <xf numFmtId="164" fontId="0" fillId="0" borderId="0" xfId="0" applyNumberFormat="1" applyBorder="1" applyAlignment="1" applyProtection="1">
      <alignment horizontal="center"/>
    </xf>
    <xf numFmtId="0" fontId="0" fillId="0" borderId="6" xfId="0" applyBorder="1" applyAlignment="1" applyProtection="1">
      <alignment horizontal="left" vertical="center"/>
    </xf>
    <xf numFmtId="164" fontId="0" fillId="0" borderId="8" xfId="0" applyNumberFormat="1" applyBorder="1" applyAlignment="1" applyProtection="1">
      <alignment horizontal="center" vertical="center"/>
    </xf>
    <xf numFmtId="0" fontId="3" fillId="0" borderId="0" xfId="0" applyFont="1"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4" fillId="0" borderId="0" xfId="0" applyFont="1" applyFill="1" applyBorder="1" applyAlignment="1" applyProtection="1">
      <alignment horizontal="center"/>
    </xf>
    <xf numFmtId="165" fontId="0" fillId="0" borderId="0" xfId="0" applyNumberFormat="1" applyBorder="1" applyAlignment="1" applyProtection="1">
      <alignment horizontal="center"/>
    </xf>
    <xf numFmtId="0" fontId="0" fillId="0" borderId="6" xfId="0" applyBorder="1" applyAlignment="1" applyProtection="1">
      <alignment horizontal="left"/>
    </xf>
    <xf numFmtId="164" fontId="0" fillId="0" borderId="8" xfId="0" applyNumberFormat="1" applyBorder="1" applyAlignment="1" applyProtection="1">
      <alignment horizontal="center"/>
    </xf>
    <xf numFmtId="0" fontId="3" fillId="0" borderId="0" xfId="0" applyFont="1" applyBorder="1" applyAlignment="1" applyProtection="1">
      <alignment horizontal="left"/>
    </xf>
    <xf numFmtId="170" fontId="0" fillId="0" borderId="8" xfId="0" applyNumberFormat="1" applyBorder="1" applyAlignment="1" applyProtection="1">
      <alignment horizontal="center"/>
    </xf>
    <xf numFmtId="164" fontId="3" fillId="0" borderId="8" xfId="0" applyNumberFormat="1" applyFont="1" applyBorder="1" applyAlignment="1" applyProtection="1">
      <alignment horizontal="center"/>
    </xf>
    <xf numFmtId="168" fontId="5" fillId="2" borderId="0" xfId="1" applyNumberFormat="1" applyFont="1" applyFill="1" applyBorder="1" applyAlignment="1" applyProtection="1">
      <alignment horizontal="center"/>
    </xf>
    <xf numFmtId="164" fontId="0" fillId="0" borderId="0" xfId="0" applyNumberFormat="1" applyBorder="1" applyProtection="1"/>
    <xf numFmtId="0" fontId="12" fillId="5" borderId="6" xfId="0" applyFont="1" applyFill="1" applyBorder="1" applyAlignment="1" applyProtection="1">
      <alignment wrapText="1"/>
    </xf>
    <xf numFmtId="0" fontId="12" fillId="5" borderId="7" xfId="0" applyFont="1" applyFill="1" applyBorder="1" applyAlignment="1" applyProtection="1">
      <alignment wrapText="1"/>
    </xf>
    <xf numFmtId="0" fontId="12" fillId="5" borderId="8" xfId="0" applyFont="1" applyFill="1" applyBorder="1" applyAlignment="1" applyProtection="1">
      <alignment wrapText="1"/>
    </xf>
    <xf numFmtId="0" fontId="3" fillId="0" borderId="0" xfId="0" applyFont="1" applyBorder="1" applyAlignment="1" applyProtection="1">
      <alignment horizontal="left" vertical="center" wrapText="1"/>
    </xf>
    <xf numFmtId="0" fontId="8" fillId="0" borderId="0" xfId="0" applyFont="1" applyAlignment="1" applyProtection="1"/>
    <xf numFmtId="0" fontId="6" fillId="0" borderId="32"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29" xfId="0" applyBorder="1" applyAlignment="1" applyProtection="1">
      <alignment horizontal="center" vertical="center"/>
    </xf>
    <xf numFmtId="164" fontId="0" fillId="0" borderId="10" xfId="1" applyNumberFormat="1" applyFont="1" applyBorder="1" applyAlignment="1" applyProtection="1">
      <alignment horizontal="center" vertical="center"/>
    </xf>
    <xf numFmtId="164" fontId="0" fillId="0" borderId="11" xfId="1" applyNumberFormat="1" applyFont="1" applyBorder="1" applyAlignment="1" applyProtection="1">
      <alignment horizontal="center" vertical="center"/>
    </xf>
    <xf numFmtId="164" fontId="0" fillId="0" borderId="29" xfId="1" applyNumberFormat="1"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166" fontId="2" fillId="6" borderId="10" xfId="0" applyNumberFormat="1" applyFont="1" applyFill="1" applyBorder="1" applyAlignment="1" applyProtection="1">
      <alignment horizontal="center" vertical="center"/>
    </xf>
    <xf numFmtId="166" fontId="2" fillId="6" borderId="11" xfId="0" applyNumberFormat="1" applyFont="1" applyFill="1" applyBorder="1" applyAlignment="1" applyProtection="1">
      <alignment horizontal="center" vertical="center"/>
    </xf>
    <xf numFmtId="166" fontId="2" fillId="6" borderId="35" xfId="0" applyNumberFormat="1" applyFont="1" applyFill="1" applyBorder="1" applyAlignment="1" applyProtection="1">
      <alignment horizontal="center" vertical="center"/>
    </xf>
    <xf numFmtId="164" fontId="0" fillId="0" borderId="25" xfId="0" applyNumberFormat="1" applyBorder="1" applyAlignment="1" applyProtection="1">
      <alignment horizontal="center" vertical="center"/>
    </xf>
    <xf numFmtId="164" fontId="0" fillId="0" borderId="26" xfId="0" applyNumberFormat="1" applyBorder="1" applyAlignment="1" applyProtection="1">
      <alignment horizontal="center" vertical="center"/>
    </xf>
    <xf numFmtId="164" fontId="0" fillId="0" borderId="31" xfId="0" applyNumberFormat="1" applyBorder="1" applyAlignment="1" applyProtection="1">
      <alignment horizontal="center" vertical="center"/>
    </xf>
    <xf numFmtId="9" fontId="2" fillId="3" borderId="10" xfId="2" applyFont="1" applyFill="1" applyBorder="1" applyAlignment="1" applyProtection="1">
      <alignment horizontal="center" vertical="center"/>
      <protection locked="0"/>
    </xf>
    <xf numFmtId="9" fontId="2" fillId="3" borderId="11" xfId="2" applyFont="1" applyFill="1" applyBorder="1" applyAlignment="1" applyProtection="1">
      <alignment horizontal="center" vertical="center"/>
      <protection locked="0"/>
    </xf>
    <xf numFmtId="9" fontId="2" fillId="3" borderId="29" xfId="2" applyFont="1" applyFill="1" applyBorder="1" applyAlignment="1" applyProtection="1">
      <alignment horizontal="center" vertical="center"/>
      <protection locked="0"/>
    </xf>
    <xf numFmtId="0" fontId="12"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167" fontId="0" fillId="0" borderId="1" xfId="0" applyNumberFormat="1" applyBorder="1" applyAlignment="1" applyProtection="1">
      <alignment horizontal="center" vertical="center"/>
    </xf>
    <xf numFmtId="167" fontId="0" fillId="0" borderId="3" xfId="0" applyNumberFormat="1" applyBorder="1" applyAlignment="1" applyProtection="1">
      <alignment horizontal="center" vertical="center"/>
    </xf>
    <xf numFmtId="167" fontId="0" fillId="0" borderId="30" xfId="0" applyNumberFormat="1" applyBorder="1" applyAlignment="1" applyProtection="1">
      <alignment horizontal="center" vertical="center"/>
    </xf>
    <xf numFmtId="167" fontId="0" fillId="0" borderId="10" xfId="0" applyNumberFormat="1" applyBorder="1" applyAlignment="1" applyProtection="1">
      <alignment horizontal="center" vertical="center"/>
    </xf>
    <xf numFmtId="167" fontId="0" fillId="0" borderId="11" xfId="0" applyNumberFormat="1" applyBorder="1" applyAlignment="1" applyProtection="1">
      <alignment horizontal="center" vertical="center"/>
    </xf>
    <xf numFmtId="167" fontId="0" fillId="0" borderId="35" xfId="0" applyNumberFormat="1" applyBorder="1" applyAlignment="1" applyProtection="1">
      <alignment horizontal="center" vertical="center"/>
    </xf>
    <xf numFmtId="0" fontId="0" fillId="0" borderId="24" xfId="0" applyBorder="1" applyAlignment="1" applyProtection="1">
      <alignment horizontal="center" vertical="center"/>
    </xf>
  </cellXfs>
  <cellStyles count="3">
    <cellStyle name="Currency" xfId="1" builtinId="4"/>
    <cellStyle name="Normal" xfId="0" builtinId="0"/>
    <cellStyle name="Percent" xfId="2" builtinId="5"/>
  </cellStyles>
  <dxfs count="9">
    <dxf>
      <font>
        <b/>
        <i val="0"/>
        <strike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rgb="FFFFFF00"/>
      </font>
      <fill>
        <patternFill>
          <bgColor rgb="FFFF0000"/>
        </patternFill>
      </fill>
    </dxf>
    <dxf>
      <font>
        <b val="0"/>
        <i val="0"/>
        <color auto="1"/>
      </font>
      <fill>
        <patternFill patternType="none">
          <bgColor auto="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8"/>
      <tableStyleElement type="headerRow" dxfId="7"/>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S35"/>
  <sheetViews>
    <sheetView showGridLines="0" tabSelected="1" zoomScale="60" zoomScaleNormal="60" workbookViewId="0">
      <selection activeCell="F24" sqref="F24"/>
    </sheetView>
  </sheetViews>
  <sheetFormatPr defaultColWidth="8.85546875" defaultRowHeight="15" zeroHeight="1" x14ac:dyDescent="0.25"/>
  <cols>
    <col min="1" max="1" width="104.28515625" style="64" customWidth="1"/>
    <col min="2" max="2" width="32.42578125" style="5" hidden="1" customWidth="1"/>
    <col min="3" max="3" width="20.140625" style="5" hidden="1" customWidth="1"/>
    <col min="4" max="4" width="12.28515625" style="5" customWidth="1"/>
    <col min="5" max="5" width="14.140625" style="5" customWidth="1"/>
    <col min="6" max="6" width="19.42578125" style="5" customWidth="1"/>
    <col min="7" max="7" width="18.42578125" style="5" customWidth="1"/>
    <col min="8" max="8" width="17.7109375" style="5" hidden="1" customWidth="1"/>
    <col min="9" max="9" width="20.28515625" style="5" customWidth="1"/>
    <col min="10" max="10" width="13.140625" style="5" hidden="1" customWidth="1"/>
    <col min="11" max="11" width="32" style="5" customWidth="1"/>
    <col min="12" max="12" width="26.5703125" style="5" customWidth="1"/>
    <col min="13" max="17" width="8.85546875" style="5" customWidth="1"/>
    <col min="18" max="18" width="12" style="5" customWidth="1"/>
    <col min="19" max="19" width="13.5703125" style="5" customWidth="1"/>
    <col min="20" max="16384" width="8.85546875" style="5"/>
  </cols>
  <sheetData>
    <row r="1" spans="1:12" ht="130.5" customHeight="1" x14ac:dyDescent="0.35">
      <c r="A1" s="86" t="s">
        <v>43</v>
      </c>
      <c r="B1" s="87"/>
      <c r="C1" s="87"/>
      <c r="D1" s="87"/>
      <c r="E1" s="87"/>
      <c r="F1" s="87"/>
      <c r="G1" s="87"/>
      <c r="H1" s="87"/>
      <c r="I1" s="87"/>
      <c r="J1" s="87"/>
      <c r="K1" s="87"/>
      <c r="L1" s="88"/>
    </row>
    <row r="2" spans="1:12" ht="29.25" thickBot="1" x14ac:dyDescent="0.3">
      <c r="A2" s="91" t="s">
        <v>34</v>
      </c>
      <c r="B2" s="92"/>
      <c r="C2" s="92"/>
      <c r="D2" s="92"/>
      <c r="E2" s="92"/>
      <c r="F2" s="92"/>
      <c r="G2" s="92"/>
      <c r="H2" s="92"/>
      <c r="I2" s="92"/>
      <c r="J2" s="92"/>
      <c r="K2" s="92"/>
      <c r="L2" s="93"/>
    </row>
    <row r="3" spans="1:12" ht="91.5" customHeight="1" thickBot="1" x14ac:dyDescent="0.3">
      <c r="A3" s="115" t="s">
        <v>35</v>
      </c>
      <c r="B3" s="116"/>
      <c r="C3" s="116"/>
      <c r="D3" s="116"/>
      <c r="E3" s="116"/>
      <c r="F3" s="116"/>
      <c r="G3" s="116"/>
      <c r="H3" s="116"/>
      <c r="I3" s="116"/>
      <c r="J3" s="116"/>
      <c r="K3" s="116"/>
      <c r="L3" s="117"/>
    </row>
    <row r="4" spans="1:12" s="16" customFormat="1" ht="78.75" customHeight="1" x14ac:dyDescent="0.25">
      <c r="A4" s="6" t="s">
        <v>20</v>
      </c>
      <c r="B4" s="7" t="s">
        <v>1</v>
      </c>
      <c r="C4" s="7" t="s">
        <v>0</v>
      </c>
      <c r="D4" s="8" t="s">
        <v>41</v>
      </c>
      <c r="E4" s="9" t="s">
        <v>40</v>
      </c>
      <c r="F4" s="10" t="s">
        <v>32</v>
      </c>
      <c r="G4" s="11" t="s">
        <v>39</v>
      </c>
      <c r="H4" s="12" t="s">
        <v>27</v>
      </c>
      <c r="I4" s="13" t="s">
        <v>42</v>
      </c>
      <c r="J4" s="14" t="s">
        <v>28</v>
      </c>
      <c r="K4" s="7"/>
      <c r="L4" s="15" t="s">
        <v>26</v>
      </c>
    </row>
    <row r="5" spans="1:12" ht="16.5" customHeight="1" x14ac:dyDescent="0.25">
      <c r="A5" s="17" t="s">
        <v>36</v>
      </c>
      <c r="B5" s="18" t="s">
        <v>17</v>
      </c>
      <c r="C5" s="18" t="s">
        <v>9</v>
      </c>
      <c r="D5" s="19" t="s">
        <v>2</v>
      </c>
      <c r="E5" s="20">
        <f>L5/G5</f>
        <v>0</v>
      </c>
      <c r="F5" s="1">
        <v>0</v>
      </c>
      <c r="G5" s="21">
        <v>43330</v>
      </c>
      <c r="H5" s="22">
        <v>0.65</v>
      </c>
      <c r="I5" s="23">
        <f t="shared" ref="I5:I18" si="0" xml:space="preserve"> (L5/G5)*H5</f>
        <v>0</v>
      </c>
      <c r="J5" s="24">
        <f xml:space="preserve"> G5/H5</f>
        <v>66661.538461538454</v>
      </c>
      <c r="K5" s="25"/>
      <c r="L5" s="26">
        <f xml:space="preserve"> IF(F5="",E5*G5,F5*L$25)</f>
        <v>0</v>
      </c>
    </row>
    <row r="6" spans="1:12" ht="16.5" customHeight="1" x14ac:dyDescent="0.25">
      <c r="A6" s="94" t="s">
        <v>44</v>
      </c>
      <c r="B6" s="18" t="s">
        <v>10</v>
      </c>
      <c r="C6" s="18" t="s">
        <v>9</v>
      </c>
      <c r="D6" s="19" t="s">
        <v>3</v>
      </c>
      <c r="E6" s="20">
        <f t="shared" ref="E6:E17" si="1">L6/G6</f>
        <v>0</v>
      </c>
      <c r="F6" s="1">
        <v>0</v>
      </c>
      <c r="G6" s="21">
        <v>180000</v>
      </c>
      <c r="H6" s="22">
        <v>1.94</v>
      </c>
      <c r="I6" s="23">
        <f xml:space="preserve"> (L6/G6)*H6</f>
        <v>0</v>
      </c>
      <c r="J6" s="24">
        <f xml:space="preserve"> G6/H6</f>
        <v>92783.505154639177</v>
      </c>
      <c r="K6" s="25"/>
      <c r="L6" s="26">
        <f t="shared" ref="L6:L21" si="2" xml:space="preserve"> IF(F6="",E6*G6,F6*L$25)</f>
        <v>0</v>
      </c>
    </row>
    <row r="7" spans="1:12" ht="16.5" customHeight="1" x14ac:dyDescent="0.25">
      <c r="A7" s="124"/>
      <c r="B7" s="18"/>
      <c r="C7" s="18"/>
      <c r="D7" s="19" t="s">
        <v>4</v>
      </c>
      <c r="E7" s="20">
        <f t="shared" si="1"/>
        <v>0</v>
      </c>
      <c r="F7" s="1">
        <v>0</v>
      </c>
      <c r="G7" s="21">
        <v>260000</v>
      </c>
      <c r="H7" s="22">
        <v>1.94</v>
      </c>
      <c r="I7" s="23">
        <f xml:space="preserve"> (L7/G7)*H7</f>
        <v>0</v>
      </c>
      <c r="J7" s="27">
        <f>G7/H7</f>
        <v>134020.61855670103</v>
      </c>
      <c r="K7" s="25"/>
      <c r="L7" s="26">
        <f t="shared" si="2"/>
        <v>0</v>
      </c>
    </row>
    <row r="8" spans="1:12" ht="16.5" customHeight="1" x14ac:dyDescent="0.25">
      <c r="A8" s="17" t="s">
        <v>38</v>
      </c>
      <c r="B8" s="18" t="s">
        <v>11</v>
      </c>
      <c r="C8" s="18" t="s">
        <v>9</v>
      </c>
      <c r="D8" s="19" t="s">
        <v>3</v>
      </c>
      <c r="E8" s="20">
        <f t="shared" si="1"/>
        <v>0</v>
      </c>
      <c r="F8" s="1">
        <v>0</v>
      </c>
      <c r="G8" s="21">
        <v>1400000</v>
      </c>
      <c r="H8" s="22">
        <v>7.81</v>
      </c>
      <c r="I8" s="23">
        <f t="shared" si="0"/>
        <v>0</v>
      </c>
      <c r="J8" s="24">
        <f xml:space="preserve"> G8/H8</f>
        <v>179257.36235595393</v>
      </c>
      <c r="K8" s="25"/>
      <c r="L8" s="26">
        <f t="shared" si="2"/>
        <v>0</v>
      </c>
    </row>
    <row r="9" spans="1:12" ht="16.5" customHeight="1" x14ac:dyDescent="0.25">
      <c r="A9" s="17" t="s">
        <v>37</v>
      </c>
      <c r="B9" s="18" t="s">
        <v>12</v>
      </c>
      <c r="C9" s="18" t="s">
        <v>9</v>
      </c>
      <c r="D9" s="19" t="s">
        <v>2</v>
      </c>
      <c r="E9" s="20">
        <f t="shared" si="1"/>
        <v>0</v>
      </c>
      <c r="F9" s="1">
        <v>0</v>
      </c>
      <c r="G9" s="21">
        <v>73000</v>
      </c>
      <c r="H9" s="22">
        <v>0.39290000000000003</v>
      </c>
      <c r="I9" s="23">
        <f t="shared" si="0"/>
        <v>0</v>
      </c>
      <c r="J9" s="24">
        <f xml:space="preserve"> G9/H9</f>
        <v>185797.91295495036</v>
      </c>
      <c r="K9" s="25"/>
      <c r="L9" s="26">
        <f t="shared" si="2"/>
        <v>0</v>
      </c>
    </row>
    <row r="10" spans="1:12" ht="16.5" customHeight="1" x14ac:dyDescent="0.25">
      <c r="A10" s="28" t="s">
        <v>45</v>
      </c>
      <c r="B10" s="29" t="s">
        <v>13</v>
      </c>
      <c r="C10" s="29" t="s">
        <v>9</v>
      </c>
      <c r="D10" s="30" t="s">
        <v>3</v>
      </c>
      <c r="E10" s="20">
        <f t="shared" si="1"/>
        <v>0</v>
      </c>
      <c r="F10" s="1">
        <v>0</v>
      </c>
      <c r="G10" s="31">
        <v>63000</v>
      </c>
      <c r="H10" s="32">
        <v>0.28699999999999998</v>
      </c>
      <c r="I10" s="23">
        <f t="shared" si="0"/>
        <v>0</v>
      </c>
      <c r="J10" s="33">
        <f xml:space="preserve"> G10/H10</f>
        <v>219512.19512195123</v>
      </c>
      <c r="K10" s="34"/>
      <c r="L10" s="26">
        <f t="shared" si="2"/>
        <v>0</v>
      </c>
    </row>
    <row r="11" spans="1:12" ht="16.5" customHeight="1" x14ac:dyDescent="0.25">
      <c r="A11" s="103" t="s">
        <v>48</v>
      </c>
      <c r="B11" s="29" t="s">
        <v>14</v>
      </c>
      <c r="C11" s="29" t="s">
        <v>9</v>
      </c>
      <c r="D11" s="19" t="s">
        <v>3</v>
      </c>
      <c r="E11" s="20">
        <f t="shared" si="1"/>
        <v>0</v>
      </c>
      <c r="F11" s="1">
        <v>0</v>
      </c>
      <c r="G11" s="21">
        <v>70000</v>
      </c>
      <c r="H11" s="22">
        <v>0.23100000000000001</v>
      </c>
      <c r="I11" s="23">
        <f t="shared" si="0"/>
        <v>0</v>
      </c>
      <c r="J11" s="24">
        <f t="shared" ref="J11:J13" si="3" xml:space="preserve"> G11/H11</f>
        <v>303030.30303030304</v>
      </c>
      <c r="K11" s="25"/>
      <c r="L11" s="26">
        <f t="shared" si="2"/>
        <v>0</v>
      </c>
    </row>
    <row r="12" spans="1:12" ht="16.5" customHeight="1" x14ac:dyDescent="0.25">
      <c r="A12" s="104"/>
      <c r="B12" s="35"/>
      <c r="C12" s="35" t="s">
        <v>9</v>
      </c>
      <c r="D12" s="19" t="s">
        <v>4</v>
      </c>
      <c r="E12" s="20">
        <f t="shared" si="1"/>
        <v>0</v>
      </c>
      <c r="F12" s="1">
        <v>0</v>
      </c>
      <c r="G12" s="21">
        <v>75000</v>
      </c>
      <c r="H12" s="22">
        <v>0.23100000000000001</v>
      </c>
      <c r="I12" s="23">
        <f t="shared" si="0"/>
        <v>0</v>
      </c>
      <c r="J12" s="24">
        <f t="shared" si="3"/>
        <v>324675.32467532466</v>
      </c>
      <c r="K12" s="25"/>
      <c r="L12" s="26">
        <f t="shared" si="2"/>
        <v>0</v>
      </c>
    </row>
    <row r="13" spans="1:12" ht="16.5" customHeight="1" x14ac:dyDescent="0.25">
      <c r="A13" s="105"/>
      <c r="B13" s="36"/>
      <c r="C13" s="36" t="s">
        <v>9</v>
      </c>
      <c r="D13" s="19" t="s">
        <v>31</v>
      </c>
      <c r="E13" s="20">
        <f t="shared" si="1"/>
        <v>0</v>
      </c>
      <c r="F13" s="1">
        <v>0</v>
      </c>
      <c r="G13" s="21">
        <v>76000</v>
      </c>
      <c r="H13" s="22">
        <v>0.23100000000000001</v>
      </c>
      <c r="I13" s="23">
        <f t="shared" si="0"/>
        <v>0</v>
      </c>
      <c r="J13" s="24">
        <f t="shared" si="3"/>
        <v>329004.32900432899</v>
      </c>
      <c r="K13" s="25"/>
      <c r="L13" s="26">
        <f t="shared" si="2"/>
        <v>0</v>
      </c>
    </row>
    <row r="14" spans="1:12" ht="16.5" customHeight="1" x14ac:dyDescent="0.25">
      <c r="A14" s="103" t="s">
        <v>49</v>
      </c>
      <c r="B14" s="29" t="s">
        <v>15</v>
      </c>
      <c r="C14" s="29" t="s">
        <v>9</v>
      </c>
      <c r="D14" s="19" t="s">
        <v>3</v>
      </c>
      <c r="E14" s="20">
        <f t="shared" si="1"/>
        <v>0</v>
      </c>
      <c r="F14" s="1">
        <v>0</v>
      </c>
      <c r="G14" s="21">
        <v>135000</v>
      </c>
      <c r="H14" s="22">
        <v>0.23899999999999999</v>
      </c>
      <c r="I14" s="23">
        <f t="shared" si="0"/>
        <v>0</v>
      </c>
      <c r="J14" s="24">
        <f t="shared" ref="J14:J19" si="4" xml:space="preserve"> G14/H14</f>
        <v>564853.55648535572</v>
      </c>
      <c r="K14" s="25"/>
      <c r="L14" s="26">
        <f t="shared" si="2"/>
        <v>0</v>
      </c>
    </row>
    <row r="15" spans="1:12" ht="16.5" customHeight="1" x14ac:dyDescent="0.25">
      <c r="A15" s="104"/>
      <c r="B15" s="35"/>
      <c r="C15" s="35" t="s">
        <v>9</v>
      </c>
      <c r="D15" s="19" t="s">
        <v>4</v>
      </c>
      <c r="E15" s="20">
        <f t="shared" si="1"/>
        <v>0</v>
      </c>
      <c r="F15" s="1">
        <v>0</v>
      </c>
      <c r="G15" s="21">
        <v>145000</v>
      </c>
      <c r="H15" s="22">
        <v>0.23899999999999999</v>
      </c>
      <c r="I15" s="23">
        <f t="shared" si="0"/>
        <v>0</v>
      </c>
      <c r="J15" s="24">
        <f t="shared" si="4"/>
        <v>606694.56066945614</v>
      </c>
      <c r="K15" s="25"/>
      <c r="L15" s="26">
        <f t="shared" si="2"/>
        <v>0</v>
      </c>
    </row>
    <row r="16" spans="1:12" ht="16.5" customHeight="1" x14ac:dyDescent="0.25">
      <c r="A16" s="105"/>
      <c r="B16" s="36"/>
      <c r="C16" s="36" t="s">
        <v>9</v>
      </c>
      <c r="D16" s="30" t="s">
        <v>31</v>
      </c>
      <c r="E16" s="20">
        <f t="shared" si="1"/>
        <v>0</v>
      </c>
      <c r="F16" s="1">
        <v>0</v>
      </c>
      <c r="G16" s="31">
        <v>148000</v>
      </c>
      <c r="H16" s="32">
        <v>0.23899999999999999</v>
      </c>
      <c r="I16" s="23">
        <f t="shared" si="0"/>
        <v>0</v>
      </c>
      <c r="J16" s="33">
        <f t="shared" si="4"/>
        <v>619246.86192468624</v>
      </c>
      <c r="K16" s="34"/>
      <c r="L16" s="26">
        <f t="shared" si="2"/>
        <v>0</v>
      </c>
    </row>
    <row r="17" spans="1:19" ht="16.5" customHeight="1" x14ac:dyDescent="0.25">
      <c r="A17" s="103" t="s">
        <v>50</v>
      </c>
      <c r="B17" s="29" t="s">
        <v>16</v>
      </c>
      <c r="C17" s="29" t="s">
        <v>9</v>
      </c>
      <c r="D17" s="19" t="s">
        <v>3</v>
      </c>
      <c r="E17" s="20">
        <f t="shared" si="1"/>
        <v>0</v>
      </c>
      <c r="F17" s="1">
        <v>0</v>
      </c>
      <c r="G17" s="21">
        <v>470000</v>
      </c>
      <c r="H17" s="22">
        <v>0.7</v>
      </c>
      <c r="I17" s="23">
        <f t="shared" si="0"/>
        <v>0</v>
      </c>
      <c r="J17" s="24">
        <f t="shared" si="4"/>
        <v>671428.57142857148</v>
      </c>
      <c r="K17" s="25"/>
      <c r="L17" s="26">
        <f t="shared" si="2"/>
        <v>0</v>
      </c>
    </row>
    <row r="18" spans="1:19" ht="16.5" customHeight="1" x14ac:dyDescent="0.25">
      <c r="A18" s="105"/>
      <c r="B18" s="37"/>
      <c r="C18" s="36" t="s">
        <v>9</v>
      </c>
      <c r="D18" s="19" t="s">
        <v>4</v>
      </c>
      <c r="E18" s="20">
        <f>L18/G18</f>
        <v>0</v>
      </c>
      <c r="F18" s="1">
        <v>0</v>
      </c>
      <c r="G18" s="21">
        <v>540000</v>
      </c>
      <c r="H18" s="22">
        <v>0.7</v>
      </c>
      <c r="I18" s="23">
        <f t="shared" si="0"/>
        <v>0</v>
      </c>
      <c r="J18" s="24">
        <f t="shared" si="4"/>
        <v>771428.57142857148</v>
      </c>
      <c r="K18" s="25"/>
      <c r="L18" s="26">
        <f t="shared" si="2"/>
        <v>0</v>
      </c>
    </row>
    <row r="19" spans="1:19" s="40" customFormat="1" ht="17.25" customHeight="1" x14ac:dyDescent="0.25">
      <c r="A19" s="94" t="s">
        <v>25</v>
      </c>
      <c r="B19" s="29"/>
      <c r="C19" s="29"/>
      <c r="D19" s="97" t="s">
        <v>2</v>
      </c>
      <c r="E19" s="106">
        <f>L19/G19</f>
        <v>0</v>
      </c>
      <c r="F19" s="112">
        <v>0</v>
      </c>
      <c r="G19" s="100">
        <v>12500</v>
      </c>
      <c r="H19" s="118">
        <v>2.1999999999999999E-2</v>
      </c>
      <c r="I19" s="121">
        <f>(L19/G19)*H19</f>
        <v>0</v>
      </c>
      <c r="J19" s="38">
        <f t="shared" si="4"/>
        <v>568181.81818181823</v>
      </c>
      <c r="K19" s="39" t="s">
        <v>24</v>
      </c>
      <c r="L19" s="109">
        <f t="shared" si="2"/>
        <v>0</v>
      </c>
    </row>
    <row r="20" spans="1:19" s="40" customFormat="1" ht="44.25" customHeight="1" x14ac:dyDescent="0.25">
      <c r="A20" s="95"/>
      <c r="B20" s="35"/>
      <c r="C20" s="35"/>
      <c r="D20" s="98"/>
      <c r="E20" s="107"/>
      <c r="F20" s="113"/>
      <c r="G20" s="101"/>
      <c r="H20" s="119"/>
      <c r="I20" s="122"/>
      <c r="J20" s="41"/>
      <c r="K20" s="42">
        <f>0.15*L25</f>
        <v>5276625.8999999994</v>
      </c>
      <c r="L20" s="110">
        <f t="shared" si="2"/>
        <v>0</v>
      </c>
      <c r="R20" s="43"/>
      <c r="S20" s="43"/>
    </row>
    <row r="21" spans="1:19" s="40" customFormat="1" ht="17.25" customHeight="1" thickBot="1" x14ac:dyDescent="0.3">
      <c r="A21" s="96"/>
      <c r="B21" s="44"/>
      <c r="C21" s="44"/>
      <c r="D21" s="99"/>
      <c r="E21" s="108"/>
      <c r="F21" s="114"/>
      <c r="G21" s="102"/>
      <c r="H21" s="120"/>
      <c r="I21" s="123"/>
      <c r="J21" s="45"/>
      <c r="K21" s="46" t="s">
        <v>23</v>
      </c>
      <c r="L21" s="111">
        <f t="shared" si="2"/>
        <v>0</v>
      </c>
    </row>
    <row r="22" spans="1:19" s="40" customFormat="1" ht="20.25" customHeight="1" x14ac:dyDescent="0.25">
      <c r="A22" s="47"/>
      <c r="B22" s="48"/>
      <c r="C22" s="48"/>
      <c r="D22" s="49"/>
      <c r="E22" s="49"/>
      <c r="F22" s="3"/>
      <c r="G22" s="50" t="s">
        <v>21</v>
      </c>
      <c r="H22" s="51"/>
      <c r="I22" s="52">
        <f xml:space="preserve"> SUM(I5,I6,I8,I9,I10,I11,I12,I13,I14,I15,I16,I17,I18,I19)</f>
        <v>0</v>
      </c>
      <c r="J22" s="41"/>
    </row>
    <row r="23" spans="1:19" s="40" customFormat="1" ht="15.75" customHeight="1" x14ac:dyDescent="0.25">
      <c r="A23" s="53"/>
      <c r="B23" s="54"/>
      <c r="C23" s="54"/>
      <c r="D23" s="55"/>
      <c r="E23" s="55"/>
      <c r="F23" s="4"/>
      <c r="G23" s="56" t="s">
        <v>33</v>
      </c>
      <c r="H23" s="57"/>
      <c r="I23" s="52">
        <v>230.1</v>
      </c>
      <c r="J23" s="41"/>
    </row>
    <row r="24" spans="1:19" s="40" customFormat="1" ht="29.25" customHeight="1" thickBot="1" x14ac:dyDescent="0.3">
      <c r="A24" s="58" t="s">
        <v>22</v>
      </c>
      <c r="B24" s="59" t="s">
        <v>18</v>
      </c>
      <c r="C24" s="60"/>
      <c r="D24" s="61"/>
      <c r="F24" s="2">
        <v>0</v>
      </c>
      <c r="G24" s="62" t="str">
        <f>IF(F24&gt;0.15,"EXCEEDS ALLOWABLE LIMITS"," ")</f>
        <v xml:space="preserve"> </v>
      </c>
      <c r="H24" s="63"/>
      <c r="I24" s="63"/>
      <c r="J24" s="41"/>
    </row>
    <row r="25" spans="1:19" ht="25.5" customHeight="1" thickBot="1" x14ac:dyDescent="0.4">
      <c r="B25" s="65" t="s">
        <v>19</v>
      </c>
      <c r="C25" s="66"/>
      <c r="D25" s="67" t="s">
        <v>30</v>
      </c>
      <c r="E25" s="68"/>
      <c r="F25" s="69">
        <f>SUM(F5,F6,F7,F8,F9,F10,F11,F12,F13,F14,F15,F16,F17,F18,F19,F24)</f>
        <v>0</v>
      </c>
      <c r="G25" s="62"/>
      <c r="H25" s="70"/>
      <c r="I25" s="70"/>
      <c r="J25" s="71"/>
      <c r="K25" s="72" t="s">
        <v>5</v>
      </c>
      <c r="L25" s="73">
        <f xml:space="preserve"> 35177506</f>
        <v>35177506</v>
      </c>
    </row>
    <row r="26" spans="1:19" ht="16.5" customHeight="1" x14ac:dyDescent="0.3">
      <c r="A26" s="74" t="s">
        <v>29</v>
      </c>
      <c r="B26" s="75"/>
      <c r="C26" s="75"/>
      <c r="D26" s="76"/>
      <c r="E26" s="77"/>
      <c r="F26" s="77"/>
      <c r="G26" s="71"/>
      <c r="H26" s="78"/>
      <c r="I26" s="78"/>
      <c r="J26" s="71"/>
      <c r="K26" s="79" t="s">
        <v>8</v>
      </c>
      <c r="L26" s="80">
        <f xml:space="preserve"> F24* L25</f>
        <v>0</v>
      </c>
    </row>
    <row r="27" spans="1:19" ht="16.5" customHeight="1" x14ac:dyDescent="0.3">
      <c r="A27" s="81" t="s">
        <v>46</v>
      </c>
      <c r="B27" s="75"/>
      <c r="C27" s="75"/>
      <c r="D27" s="76"/>
      <c r="E27" s="76"/>
      <c r="F27" s="76"/>
      <c r="G27" s="71" t="s">
        <v>51</v>
      </c>
      <c r="H27" s="78"/>
      <c r="I27" s="78"/>
      <c r="J27" s="71"/>
      <c r="K27" s="79" t="s">
        <v>6</v>
      </c>
      <c r="L27" s="82">
        <f xml:space="preserve"> SUM(L5,L6,L7,L8,L9,L10,L11,L12,L13,L14,L15,L16,L17,L18,L19,L26)</f>
        <v>0</v>
      </c>
    </row>
    <row r="28" spans="1:19" ht="16.5" customHeight="1" x14ac:dyDescent="0.3">
      <c r="A28" s="89" t="s">
        <v>47</v>
      </c>
      <c r="B28" s="90"/>
      <c r="C28" s="90"/>
      <c r="D28" s="90"/>
      <c r="E28" s="90"/>
      <c r="F28" s="90"/>
      <c r="G28" s="90"/>
      <c r="H28" s="90"/>
      <c r="I28" s="90"/>
      <c r="J28" s="71"/>
      <c r="K28" s="79" t="s">
        <v>7</v>
      </c>
      <c r="L28" s="83">
        <f xml:space="preserve"> L25 - L27</f>
        <v>35177506</v>
      </c>
    </row>
    <row r="29" spans="1:19" ht="16.5" customHeight="1" x14ac:dyDescent="0.25">
      <c r="A29" s="89"/>
      <c r="B29" s="90"/>
      <c r="C29" s="90"/>
      <c r="D29" s="90"/>
      <c r="E29" s="90"/>
      <c r="F29" s="90"/>
      <c r="G29" s="90"/>
      <c r="H29" s="90"/>
      <c r="I29" s="90"/>
      <c r="J29" s="71"/>
      <c r="L29" s="84">
        <f>IF(L27&gt;L25,"EXCEEDS BUDGET",L27)</f>
        <v>0</v>
      </c>
    </row>
    <row r="30" spans="1:19" hidden="1" x14ac:dyDescent="0.25"/>
    <row r="31" spans="1:19" hidden="1" x14ac:dyDescent="0.25"/>
    <row r="32" spans="1:19" hidden="1" x14ac:dyDescent="0.25"/>
    <row r="33" spans="11:11" hidden="1" x14ac:dyDescent="0.25">
      <c r="K33" s="85"/>
    </row>
    <row r="34" spans="11:11" hidden="1" x14ac:dyDescent="0.25">
      <c r="K34" s="85"/>
    </row>
    <row r="35" spans="11:11" hidden="1" x14ac:dyDescent="0.25">
      <c r="K35" s="85"/>
    </row>
  </sheetData>
  <sheetProtection password="C5A6" sheet="1" objects="1" scenarios="1" selectLockedCells="1"/>
  <protectedRanges>
    <protectedRange sqref="F24 F5:F23 E5:E19 E21:E23" name="Range1"/>
  </protectedRanges>
  <mergeCells count="16">
    <mergeCell ref="A1:L1"/>
    <mergeCell ref="A28:I29"/>
    <mergeCell ref="A2:L2"/>
    <mergeCell ref="A19:A21"/>
    <mergeCell ref="D19:D21"/>
    <mergeCell ref="G19:G21"/>
    <mergeCell ref="A11:A13"/>
    <mergeCell ref="A14:A16"/>
    <mergeCell ref="A17:A18"/>
    <mergeCell ref="E19:E21"/>
    <mergeCell ref="L19:L21"/>
    <mergeCell ref="F19:F21"/>
    <mergeCell ref="A3:L3"/>
    <mergeCell ref="H19:H21"/>
    <mergeCell ref="I19:I21"/>
    <mergeCell ref="A6:A7"/>
  </mergeCells>
  <conditionalFormatting sqref="L29">
    <cfRule type="cellIs" dxfId="6" priority="15" operator="between">
      <formula>0</formula>
      <formula>$L$25</formula>
    </cfRule>
    <cfRule type="cellIs" dxfId="5" priority="18" stopIfTrue="1" operator="greaterThan">
      <formula>$L$25</formula>
    </cfRule>
  </conditionalFormatting>
  <conditionalFormatting sqref="F25">
    <cfRule type="cellIs" dxfId="4" priority="12" operator="greaterThan">
      <formula>100%</formula>
    </cfRule>
  </conditionalFormatting>
  <conditionalFormatting sqref="F19:F21">
    <cfRule type="cellIs" dxfId="3" priority="9" operator="greaterThan">
      <formula>0.15</formula>
    </cfRule>
  </conditionalFormatting>
  <conditionalFormatting sqref="L19:L21">
    <cfRule type="cellIs" dxfId="2" priority="8" operator="greaterThan">
      <formula>5276626</formula>
    </cfRule>
  </conditionalFormatting>
  <conditionalFormatting sqref="F24">
    <cfRule type="cellIs" dxfId="1" priority="10" operator="greaterThan">
      <formula>0.15</formula>
    </cfRule>
    <cfRule type="cellIs" dxfId="0" priority="14" operator="greaterThan">
      <formula>0.15</formula>
    </cfRule>
  </conditionalFormatting>
  <printOptions horizontalCentered="1" verticalCentered="1"/>
  <pageMargins left="0.17" right="0.17" top="0.17" bottom="0.17" header="0.17" footer="0.17"/>
  <pageSetup scale="65" orientation="landscape" r:id="rId1"/>
  <ignoredErrors>
    <ignoredError sqref="E5 E18 E6:E17 E19:E21 I5:I21 L5:L21 K20 L25:L29 G24 F25" unlocked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VW Calculator</vt:lpstr>
      <vt:lpstr>Sheet1</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Burr</dc:creator>
  <cp:lastModifiedBy>Lisa Burr</cp:lastModifiedBy>
  <cp:lastPrinted>2017-09-06T13:45:46Z</cp:lastPrinted>
  <dcterms:created xsi:type="dcterms:W3CDTF">2017-04-17T18:24:36Z</dcterms:created>
  <dcterms:modified xsi:type="dcterms:W3CDTF">2017-11-01T21:50:56Z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c0105a2f-0a02-406f-b9fb-f553c7827f3d</vt:lpwstr>
  </property>
</Properties>
</file>